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61" windowWidth="9600" windowHeight="9150" activeTab="0"/>
  </bookViews>
  <sheets>
    <sheet name="PodCars" sheetId="1" r:id="rId1"/>
    <sheet name="Solar" sheetId="2" r:id="rId2"/>
    <sheet name="Validate Mfrs " sheetId="3" r:id="rId3"/>
  </sheets>
  <definedNames/>
  <calcPr fullCalcOnLoad="1"/>
</workbook>
</file>

<file path=xl/sharedStrings.xml><?xml version="1.0" encoding="utf-8"?>
<sst xmlns="http://schemas.openxmlformats.org/spreadsheetml/2006/main" count="160" uniqueCount="139">
  <si>
    <t>hr</t>
  </si>
  <si>
    <t>Ridership Capacity</t>
  </si>
  <si>
    <t>Bicycle example</t>
  </si>
  <si>
    <t>I built an electric bike that went 20 miles on 4 12 amp-hr 12v batteries</t>
  </si>
  <si>
    <t>days per month</t>
  </si>
  <si>
    <t>Car example</t>
  </si>
  <si>
    <t>kw power generated per vehicle at noon</t>
  </si>
  <si>
    <t>Compare to Automobile</t>
  </si>
  <si>
    <t>kwh, battery storage capacity</t>
  </si>
  <si>
    <t>kw average power during ride</t>
  </si>
  <si>
    <t>miles, range</t>
  </si>
  <si>
    <t>mph, average</t>
  </si>
  <si>
    <t>/gallon fuel price</t>
  </si>
  <si>
    <t>Cost of solar to cover fleet mileage</t>
  </si>
  <si>
    <t>mpg, average fleet mileage</t>
  </si>
  <si>
    <t>Cost to travel fleet mileage daily</t>
  </si>
  <si>
    <t>Annual cost to travel fleet mileage</t>
  </si>
  <si>
    <t>years, Payback for solar system to save auto travel</t>
  </si>
  <si>
    <t>hrs at peak operation equivalent</t>
  </si>
  <si>
    <t>hrs of peak sun equivalent. Coast = 4, Desert = 6</t>
  </si>
  <si>
    <t>ft wide solar panel at existing manufactured size</t>
  </si>
  <si>
    <t>watts / sq ft, SunPower, most efficient on market</t>
  </si>
  <si>
    <t>ft wide solar panel to meet requirement</t>
  </si>
  <si>
    <t>passengers per day to match</t>
  </si>
  <si>
    <t>ft/mile</t>
  </si>
  <si>
    <t>kw needed in a mile stretch</t>
  </si>
  <si>
    <t>ft wide</t>
  </si>
  <si>
    <t>watts/mile</t>
  </si>
  <si>
    <t>/watt</t>
  </si>
  <si>
    <t>/mi</t>
  </si>
  <si>
    <t>solar factor</t>
  </si>
  <si>
    <t>watts / lineal ft per lane w/ solar factor</t>
  </si>
  <si>
    <t>Key assumptions</t>
  </si>
  <si>
    <t>Key results</t>
  </si>
  <si>
    <t>seconds / min</t>
  </si>
  <si>
    <t>min / hr</t>
  </si>
  <si>
    <t>passengers per hour at full capacity</t>
  </si>
  <si>
    <t>passengers per day</t>
  </si>
  <si>
    <t>Dimensions</t>
  </si>
  <si>
    <t>mm</t>
  </si>
  <si>
    <t>inches</t>
  </si>
  <si>
    <t>sq ft</t>
  </si>
  <si>
    <t>watts</t>
  </si>
  <si>
    <t>Weight</t>
  </si>
  <si>
    <t>kg</t>
  </si>
  <si>
    <t>lbs</t>
  </si>
  <si>
    <t>lbs/sq ft</t>
  </si>
  <si>
    <t>lbs per lf if positioned "landscape"</t>
  </si>
  <si>
    <t>ft interval between pods at maximum throughput</t>
  </si>
  <si>
    <t>sq ft/sq mi</t>
  </si>
  <si>
    <t>sq mi PV per year</t>
  </si>
  <si>
    <t>ft/mi</t>
  </si>
  <si>
    <t>sq ft / mi</t>
  </si>
  <si>
    <t>Total World Solar Production</t>
  </si>
  <si>
    <t>Skytran Solar Requirements</t>
  </si>
  <si>
    <t>miles to absorb total annual PV</t>
  </si>
  <si>
    <t>SunPower's 220 Watt panel</t>
  </si>
  <si>
    <t>watts per square foot</t>
  </si>
  <si>
    <t>hours of sunlight equivalent at rated power</t>
  </si>
  <si>
    <t>sq ft at 10 watts per sq ft</t>
  </si>
  <si>
    <t>panels per interval if panels are positioned "landscape"</t>
  </si>
  <si>
    <t>kw required per pod</t>
  </si>
  <si>
    <t>watt-hours per panel per day</t>
  </si>
  <si>
    <t>Power &amp; Energy</t>
  </si>
  <si>
    <t>Solar System Analysis</t>
  </si>
  <si>
    <t>Watt-hrs per interval (= Watt-hrs per pod) per day</t>
  </si>
  <si>
    <t>hrs at capacity</t>
  </si>
  <si>
    <t>capacity per hour</t>
  </si>
  <si>
    <t>capacity of line per day</t>
  </si>
  <si>
    <t>Watts, global solar power produced per year, 2005</t>
  </si>
  <si>
    <t>ft in a sec (88 ft/sec = 60 mph)</t>
  </si>
  <si>
    <t>Solar PRT</t>
  </si>
  <si>
    <t>Input Variables -- can be modified for analysis</t>
  </si>
  <si>
    <t>sq m</t>
  </si>
  <si>
    <t>w/sq m</t>
  </si>
  <si>
    <t>kg/sq m</t>
  </si>
  <si>
    <t>Capacity based on using existing panel size</t>
  </si>
  <si>
    <t>people/automobile</t>
  </si>
  <si>
    <t>people/podcar</t>
  </si>
  <si>
    <t>cars/day</t>
  </si>
  <si>
    <t>podcars per second</t>
  </si>
  <si>
    <t>ft between podcars</t>
  </si>
  <si>
    <t>podcars/mi, separated by interval specified</t>
  </si>
  <si>
    <t>cars per month on I-5 near Las Vegas</t>
  </si>
  <si>
    <t>cars per day</t>
  </si>
  <si>
    <t>Ultra</t>
  </si>
  <si>
    <t>Vectus</t>
  </si>
  <si>
    <t>.55 MJ/pass-km</t>
  </si>
  <si>
    <t>660 watt-hour per vehicle – kilometer at 45km/h (28 miles/hour)</t>
  </si>
  <si>
    <t>kwh/pass-km</t>
  </si>
  <si>
    <t>kwh/km</t>
  </si>
  <si>
    <t>km/mi</t>
  </si>
  <si>
    <t>*</t>
  </si>
  <si>
    <t>kwh/pass-mi</t>
  </si>
  <si>
    <t>kwh/veh-mi</t>
  </si>
  <si>
    <t>Validate manufacturers' claims</t>
  </si>
  <si>
    <t>speed not specified</t>
  </si>
  <si>
    <t>kwh/vehicle-mile</t>
  </si>
  <si>
    <t>hrs to traverse one mile</t>
  </si>
  <si>
    <t>=</t>
  </si>
  <si>
    <t>2 kw at average speed</t>
  </si>
  <si>
    <t>km/hr</t>
  </si>
  <si>
    <t>kwh/hr</t>
  </si>
  <si>
    <t>kw</t>
  </si>
  <si>
    <t>kwh/veh-km</t>
  </si>
  <si>
    <t>pass/veh</t>
  </si>
  <si>
    <t>kw at average speed</t>
  </si>
  <si>
    <t>/</t>
  </si>
  <si>
    <t>km/hr average speed</t>
  </si>
  <si>
    <t>nearly the same</t>
  </si>
  <si>
    <t>correction factor</t>
  </si>
  <si>
    <t>mi/hr, operating speed</t>
  </si>
  <si>
    <t>sec podcar interval</t>
  </si>
  <si>
    <t>mj/pass-km</t>
  </si>
  <si>
    <t>mj/kwh</t>
  </si>
  <si>
    <t xml:space="preserve">SkyTran: 2 kilowatts at 35mph </t>
  </si>
  <si>
    <t>kwh/mi</t>
  </si>
  <si>
    <t>btu/gallon per EIA</t>
  </si>
  <si>
    <t>kwh/gallon</t>
  </si>
  <si>
    <t>miles per gallon equivalent</t>
  </si>
  <si>
    <t>btu/kwh</t>
  </si>
  <si>
    <t>podcar mpg equivalent</t>
  </si>
  <si>
    <t>Example claims for energy calculations</t>
  </si>
  <si>
    <t>=30 kw at 45 km/h (27 mph)</t>
  </si>
  <si>
    <t>=30 kw at 40 km/hr</t>
  </si>
  <si>
    <t>Electric vehicles for comparison</t>
  </si>
  <si>
    <t>ULTra: 0.55 MJ/passenger/kilometer at 40 km/hr</t>
  </si>
  <si>
    <t>hours</t>
  </si>
  <si>
    <t>kwh/100 miles</t>
  </si>
  <si>
    <t>EV-1</t>
  </si>
  <si>
    <t>mph (estimate)</t>
  </si>
  <si>
    <t>mile range</t>
  </si>
  <si>
    <t>podcars empty ("deadheading")</t>
  </si>
  <si>
    <t>kw @ operating speed including cabin load</t>
  </si>
  <si>
    <t>watts needed / lineal ft at peak sun</t>
  </si>
  <si>
    <t>Updated June 26, 2007</t>
  </si>
  <si>
    <t>Vectus: 660 watt-hours per vehicle - kilometer at 45 km/h</t>
  </si>
  <si>
    <t>kwh/veh-mi at unspecified speed</t>
  </si>
  <si>
    <t>By varying km/hr average speed, we correlated these data.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</si>
</sst>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_);_(@_)"/>
    <numFmt numFmtId="173" formatCode="_(* #,##0.000_);_(* \(#,##0.000\);_(* &quot;-&quot;??_);_(@_)"/>
    <numFmt numFmtId="174" formatCode="_(* #,##0.0000_);_(* \(#,##0.0000\);_(* &quot;-&quot;??_);_(@_)"/>
    <numFmt numFmtId="175" formatCode="_(* #,##0.000_);_(* \(#,##0.000\);_(* &quot;-&quot;?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2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169" fontId="0" fillId="33" borderId="0" xfId="42" applyNumberFormat="1" applyFont="1" applyFill="1" applyAlignment="1">
      <alignment/>
    </xf>
    <xf numFmtId="169" fontId="0" fillId="34" borderId="0" xfId="42" applyNumberFormat="1" applyFont="1" applyFill="1" applyAlignment="1">
      <alignment/>
    </xf>
    <xf numFmtId="171" fontId="0" fillId="34" borderId="0" xfId="44" applyNumberFormat="1" applyFont="1" applyFill="1" applyAlignment="1">
      <alignment/>
    </xf>
    <xf numFmtId="44" fontId="0" fillId="33" borderId="10" xfId="44" applyFont="1" applyFill="1" applyBorder="1" applyAlignment="1">
      <alignment/>
    </xf>
    <xf numFmtId="169" fontId="4" fillId="0" borderId="0" xfId="42" applyNumberFormat="1" applyFont="1" applyAlignment="1">
      <alignment/>
    </xf>
    <xf numFmtId="169" fontId="0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169" fontId="0" fillId="0" borderId="12" xfId="42" applyNumberFormat="1" applyFont="1" applyBorder="1" applyAlignment="1">
      <alignment/>
    </xf>
    <xf numFmtId="169" fontId="0" fillId="34" borderId="11" xfId="42" applyNumberFormat="1" applyFont="1" applyFill="1" applyBorder="1" applyAlignment="1">
      <alignment/>
    </xf>
    <xf numFmtId="169" fontId="0" fillId="34" borderId="0" xfId="42" applyNumberFormat="1" applyFont="1" applyFill="1" applyBorder="1" applyAlignment="1">
      <alignment/>
    </xf>
    <xf numFmtId="171" fontId="0" fillId="0" borderId="0" xfId="44" applyNumberFormat="1" applyFont="1" applyAlignment="1">
      <alignment/>
    </xf>
    <xf numFmtId="169" fontId="0" fillId="0" borderId="0" xfId="42" applyNumberFormat="1" applyFont="1" applyAlignment="1" quotePrefix="1">
      <alignment/>
    </xf>
    <xf numFmtId="169" fontId="0" fillId="33" borderId="10" xfId="42" applyNumberFormat="1" applyFont="1" applyFill="1" applyBorder="1" applyAlignment="1">
      <alignment/>
    </xf>
    <xf numFmtId="9" fontId="0" fillId="0" borderId="0" xfId="59" applyFont="1" applyAlignment="1">
      <alignment/>
    </xf>
    <xf numFmtId="169" fontId="0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4" fontId="0" fillId="0" borderId="0" xfId="44" applyFont="1" applyFill="1" applyBorder="1" applyAlignment="1">
      <alignment/>
    </xf>
    <xf numFmtId="169" fontId="0" fillId="0" borderId="0" xfId="42" applyNumberFormat="1" applyFont="1" applyFill="1" applyBorder="1" applyAlignment="1" quotePrefix="1">
      <alignment/>
    </xf>
    <xf numFmtId="171" fontId="0" fillId="0" borderId="0" xfId="44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69" fontId="0" fillId="35" borderId="0" xfId="42" applyNumberFormat="1" applyFont="1" applyFill="1" applyAlignment="1">
      <alignment/>
    </xf>
    <xf numFmtId="43" fontId="0" fillId="0" borderId="11" xfId="42" applyFont="1" applyBorder="1" applyAlignment="1">
      <alignment/>
    </xf>
    <xf numFmtId="168" fontId="0" fillId="34" borderId="0" xfId="42" applyNumberFormat="1" applyFont="1" applyFill="1" applyAlignment="1">
      <alignment/>
    </xf>
    <xf numFmtId="169" fontId="0" fillId="35" borderId="10" xfId="42" applyNumberFormat="1" applyFont="1" applyFill="1" applyBorder="1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169" fontId="0" fillId="0" borderId="0" xfId="42" applyNumberFormat="1" applyFont="1" applyFill="1" applyAlignment="1">
      <alignment/>
    </xf>
    <xf numFmtId="169" fontId="0" fillId="35" borderId="13" xfId="42" applyNumberFormat="1" applyFont="1" applyFill="1" applyBorder="1" applyAlignment="1">
      <alignment/>
    </xf>
    <xf numFmtId="168" fontId="0" fillId="35" borderId="13" xfId="42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 horizontal="left"/>
    </xf>
    <xf numFmtId="168" fontId="0" fillId="34" borderId="0" xfId="42" applyNumberFormat="1" applyFont="1" applyFill="1" applyBorder="1" applyAlignment="1">
      <alignment/>
    </xf>
    <xf numFmtId="169" fontId="0" fillId="34" borderId="0" xfId="42" applyNumberFormat="1" applyFont="1" applyFill="1" applyBorder="1" applyAlignment="1">
      <alignment horizontal="left"/>
    </xf>
    <xf numFmtId="44" fontId="0" fillId="35" borderId="13" xfId="44" applyFont="1" applyFill="1" applyBorder="1" applyAlignment="1">
      <alignment/>
    </xf>
    <xf numFmtId="169" fontId="0" fillId="35" borderId="14" xfId="42" applyNumberFormat="1" applyFont="1" applyFill="1" applyBorder="1" applyAlignment="1">
      <alignment/>
    </xf>
    <xf numFmtId="169" fontId="0" fillId="0" borderId="0" xfId="42" applyNumberFormat="1" applyFont="1" applyFill="1" applyAlignment="1" quotePrefix="1">
      <alignment/>
    </xf>
    <xf numFmtId="168" fontId="0" fillId="0" borderId="15" xfId="42" applyNumberFormat="1" applyFont="1" applyBorder="1" applyAlignment="1">
      <alignment/>
    </xf>
    <xf numFmtId="169" fontId="0" fillId="34" borderId="0" xfId="42" applyNumberFormat="1" applyFont="1" applyFill="1" applyBorder="1" applyAlignment="1" quotePrefix="1">
      <alignment/>
    </xf>
    <xf numFmtId="169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42" applyNumberFormat="1" applyFont="1" applyFill="1" applyAlignment="1">
      <alignment/>
    </xf>
    <xf numFmtId="169" fontId="0" fillId="0" borderId="0" xfId="42" applyNumberFormat="1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Alignment="1" quotePrefix="1">
      <alignment horizontal="right"/>
    </xf>
    <xf numFmtId="43" fontId="42" fillId="0" borderId="10" xfId="42" applyFont="1" applyBorder="1" applyAlignment="1">
      <alignment/>
    </xf>
    <xf numFmtId="169" fontId="42" fillId="0" borderId="10" xfId="42" applyNumberFormat="1" applyFont="1" applyBorder="1" applyAlignment="1">
      <alignment/>
    </xf>
    <xf numFmtId="169" fontId="44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43" fontId="0" fillId="0" borderId="0" xfId="42" applyFont="1" applyAlignment="1">
      <alignment horizontal="left"/>
    </xf>
    <xf numFmtId="43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36" borderId="0" xfId="42" applyNumberFormat="1" applyFont="1" applyFill="1" applyAlignment="1">
      <alignment/>
    </xf>
    <xf numFmtId="43" fontId="0" fillId="36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 quotePrefix="1">
      <alignment horizontal="right"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169" fontId="0" fillId="36" borderId="13" xfId="42" applyNumberFormat="1" applyFont="1" applyFill="1" applyBorder="1" applyAlignment="1">
      <alignment/>
    </xf>
    <xf numFmtId="9" fontId="0" fillId="0" borderId="0" xfId="59" applyFont="1" applyBorder="1" applyAlignment="1">
      <alignment/>
    </xf>
    <xf numFmtId="43" fontId="0" fillId="0" borderId="0" xfId="42" applyFont="1" applyBorder="1" applyAlignment="1">
      <alignment horizontal="right"/>
    </xf>
    <xf numFmtId="168" fontId="0" fillId="0" borderId="0" xfId="42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69" fontId="2" fillId="0" borderId="0" xfId="53" applyNumberFormat="1" applyAlignment="1" applyProtection="1">
      <alignment/>
      <protection/>
    </xf>
    <xf numFmtId="169" fontId="0" fillId="33" borderId="0" xfId="42" applyNumberFormat="1" applyFont="1" applyFill="1" applyBorder="1" applyAlignment="1">
      <alignment/>
    </xf>
    <xf numFmtId="169" fontId="2" fillId="0" borderId="0" xfId="53" applyNumberFormat="1" applyFill="1" applyBorder="1" applyAlignment="1" applyProtection="1">
      <alignment/>
      <protection/>
    </xf>
    <xf numFmtId="173" fontId="0" fillId="0" borderId="0" xfId="42" applyNumberFormat="1" applyFont="1" applyBorder="1" applyAlignment="1">
      <alignment/>
    </xf>
    <xf numFmtId="169" fontId="0" fillId="0" borderId="10" xfId="42" applyNumberFormat="1" applyFont="1" applyFill="1" applyBorder="1" applyAlignment="1">
      <alignment/>
    </xf>
    <xf numFmtId="169" fontId="4" fillId="0" borderId="0" xfId="42" applyNumberFormat="1" applyFont="1" applyFill="1" applyBorder="1" applyAlignment="1">
      <alignment horizontal="center"/>
    </xf>
    <xf numFmtId="169" fontId="5" fillId="37" borderId="10" xfId="42" applyNumberFormat="1" applyFont="1" applyFill="1" applyBorder="1" applyAlignment="1">
      <alignment horizontal="center"/>
    </xf>
    <xf numFmtId="169" fontId="0" fillId="33" borderId="0" xfId="42" applyNumberFormat="1" applyFont="1" applyFill="1" applyAlignment="1">
      <alignment horizontal="center"/>
    </xf>
    <xf numFmtId="169" fontId="0" fillId="34" borderId="0" xfId="42" applyNumberFormat="1" applyFont="1" applyFill="1" applyAlignment="1">
      <alignment horizontal="center"/>
    </xf>
    <xf numFmtId="169" fontId="5" fillId="38" borderId="10" xfId="42" applyNumberFormat="1" applyFont="1" applyFill="1" applyBorder="1" applyAlignment="1">
      <alignment horizontal="center"/>
    </xf>
    <xf numFmtId="169" fontId="4" fillId="38" borderId="12" xfId="42" applyNumberFormat="1" applyFont="1" applyFill="1" applyBorder="1" applyAlignment="1">
      <alignment horizontal="center"/>
    </xf>
    <xf numFmtId="169" fontId="4" fillId="38" borderId="10" xfId="42" applyNumberFormat="1" applyFont="1" applyFill="1" applyBorder="1" applyAlignment="1">
      <alignment horizontal="center"/>
    </xf>
    <xf numFmtId="169" fontId="4" fillId="0" borderId="10" xfId="42" applyNumberFormat="1" applyFont="1" applyBorder="1" applyAlignment="1">
      <alignment horizontal="center"/>
    </xf>
    <xf numFmtId="169" fontId="4" fillId="39" borderId="0" xfId="42" applyNumberFormat="1" applyFont="1" applyFill="1" applyAlignment="1">
      <alignment horizontal="center"/>
    </xf>
    <xf numFmtId="0" fontId="46" fillId="0" borderId="0" xfId="0" applyFont="1" applyBorder="1" applyAlignment="1">
      <alignment horizontal="left"/>
    </xf>
    <xf numFmtId="9" fontId="0" fillId="35" borderId="13" xfId="59" applyFont="1" applyFill="1" applyBorder="1" applyAlignment="1">
      <alignment/>
    </xf>
    <xf numFmtId="169" fontId="26" fillId="0" borderId="0" xfId="42" applyNumberFormat="1" applyFont="1" applyAlignment="1">
      <alignment/>
    </xf>
    <xf numFmtId="43" fontId="0" fillId="0" borderId="0" xfId="42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38100</xdr:rowOff>
    </xdr:from>
    <xdr:to>
      <xdr:col>3</xdr:col>
      <xdr:colOff>847725</xdr:colOff>
      <xdr:row>15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4591050" y="2409825"/>
          <a:ext cx="781050" cy="133350"/>
        </a:xfrm>
        <a:prstGeom prst="rightArrow">
          <a:avLst>
            <a:gd name="adj" fmla="val 4146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kids/energyfacts/science/energy_calculator.html" TargetMode="External" /><Relationship Id="rId2" Type="http://schemas.openxmlformats.org/officeDocument/2006/relationships/hyperlink" Target="http://www.vectusprt.com/eng/prt/prt_4_vectusprt.asp" TargetMode="External" /><Relationship Id="rId3" Type="http://schemas.openxmlformats.org/officeDocument/2006/relationships/hyperlink" Target="http://avt.inel.gov/fsev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4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2" customWidth="1"/>
    <col min="2" max="2" width="15.00390625" style="2" bestFit="1" customWidth="1"/>
    <col min="3" max="3" width="43.7109375" style="2" customWidth="1"/>
    <col min="4" max="4" width="14.00390625" style="2" bestFit="1" customWidth="1"/>
    <col min="5" max="5" width="5.7109375" style="2" bestFit="1" customWidth="1"/>
    <col min="6" max="6" width="10.28125" style="2" bestFit="1" customWidth="1"/>
    <col min="7" max="7" width="37.28125" style="2" bestFit="1" customWidth="1"/>
    <col min="8" max="8" width="8.7109375" style="2" bestFit="1" customWidth="1"/>
    <col min="9" max="9" width="9.28125" style="2" bestFit="1" customWidth="1"/>
    <col min="10" max="16384" width="9.140625" style="2" customWidth="1"/>
  </cols>
  <sheetData>
    <row r="2" spans="2:6" ht="15.75">
      <c r="B2" s="81" t="s">
        <v>71</v>
      </c>
      <c r="C2" s="81"/>
      <c r="F2" s="88" t="s">
        <v>135</v>
      </c>
    </row>
    <row r="3" ht="13.5" thickBot="1"/>
    <row r="4" spans="2:3" ht="13.5" thickBot="1">
      <c r="B4" s="34"/>
      <c r="C4" s="27" t="s">
        <v>72</v>
      </c>
    </row>
    <row r="5" spans="2:3" ht="12.75">
      <c r="B5" s="79" t="s">
        <v>32</v>
      </c>
      <c r="C5" s="79"/>
    </row>
    <row r="6" spans="2:7" ht="12.75">
      <c r="B6" s="80" t="s">
        <v>33</v>
      </c>
      <c r="C6" s="80"/>
      <c r="F6" s="84" t="s">
        <v>2</v>
      </c>
      <c r="G6" s="84"/>
    </row>
    <row r="7" spans="6:7" ht="12.75">
      <c r="F7" s="2" t="s">
        <v>3</v>
      </c>
      <c r="G7" s="32"/>
    </row>
    <row r="8" spans="6:7" ht="13.5" thickBot="1">
      <c r="F8" s="2">
        <v>20</v>
      </c>
      <c r="G8" s="2" t="s">
        <v>10</v>
      </c>
    </row>
    <row r="9" spans="2:7" ht="13.5" thickBot="1">
      <c r="B9" s="34">
        <v>50</v>
      </c>
      <c r="C9" s="46" t="s">
        <v>111</v>
      </c>
      <c r="F9" s="2">
        <v>20</v>
      </c>
      <c r="G9" s="2" t="s">
        <v>11</v>
      </c>
    </row>
    <row r="10" spans="2:7" ht="13.5" thickBot="1">
      <c r="B10" s="33">
        <f>88*B9/60</f>
        <v>73.33333333333333</v>
      </c>
      <c r="C10" s="2" t="s">
        <v>70</v>
      </c>
      <c r="F10" s="2">
        <f>+F8/F9</f>
        <v>1</v>
      </c>
      <c r="G10" s="2" t="s">
        <v>0</v>
      </c>
    </row>
    <row r="11" spans="2:7" ht="13.5" thickBot="1">
      <c r="B11" s="35">
        <v>2</v>
      </c>
      <c r="C11" s="46" t="s">
        <v>112</v>
      </c>
      <c r="F11" s="4">
        <f>12*4*12/1000</f>
        <v>0.576</v>
      </c>
      <c r="G11" s="2" t="s">
        <v>8</v>
      </c>
    </row>
    <row r="12" spans="2:7" ht="12.75">
      <c r="B12" s="2">
        <f>+B10*B11</f>
        <v>146.66666666666666</v>
      </c>
      <c r="C12" s="2" t="s">
        <v>81</v>
      </c>
      <c r="F12" s="31">
        <f>+F10*F11</f>
        <v>0.576</v>
      </c>
      <c r="G12" s="2" t="s">
        <v>9</v>
      </c>
    </row>
    <row r="13" spans="2:3" ht="12.75">
      <c r="B13" s="12">
        <v>5280</v>
      </c>
      <c r="C13" s="2" t="s">
        <v>24</v>
      </c>
    </row>
    <row r="14" spans="2:7" ht="13.5" thickBot="1">
      <c r="B14" s="21">
        <f>+B13/B12</f>
        <v>36</v>
      </c>
      <c r="C14" s="33" t="s">
        <v>82</v>
      </c>
      <c r="F14" s="84" t="s">
        <v>121</v>
      </c>
      <c r="G14" s="84"/>
    </row>
    <row r="15" spans="2:9" ht="13.5" thickBot="1">
      <c r="B15" s="35">
        <v>6.5</v>
      </c>
      <c r="C15" s="33" t="s">
        <v>133</v>
      </c>
      <c r="F15" s="55">
        <f>+B15/B9</f>
        <v>0.13</v>
      </c>
      <c r="G15" s="2" t="s">
        <v>116</v>
      </c>
      <c r="H15" s="73">
        <v>124000</v>
      </c>
      <c r="I15" s="72" t="s">
        <v>117</v>
      </c>
    </row>
    <row r="16" spans="2:9" ht="13.5" thickBot="1">
      <c r="B16" s="87">
        <v>0.2</v>
      </c>
      <c r="C16" s="33" t="s">
        <v>132</v>
      </c>
      <c r="F16" s="2">
        <f>+H17/F15</f>
        <v>95.38461538461539</v>
      </c>
      <c r="G16" s="2" t="s">
        <v>119</v>
      </c>
      <c r="H16" s="19">
        <v>10000</v>
      </c>
      <c r="I16" s="3" t="s">
        <v>120</v>
      </c>
    </row>
    <row r="17" spans="2:9" ht="12.75">
      <c r="B17" s="2">
        <f>+B15*B14*(1+B16)</f>
        <v>280.8</v>
      </c>
      <c r="C17" s="2" t="s">
        <v>25</v>
      </c>
      <c r="H17" s="21">
        <f>+H15/H16</f>
        <v>12.4</v>
      </c>
      <c r="I17" s="2" t="s">
        <v>118</v>
      </c>
    </row>
    <row r="18" spans="2:3" ht="12.75">
      <c r="B18" s="3">
        <v>5280</v>
      </c>
      <c r="C18" s="2" t="s">
        <v>51</v>
      </c>
    </row>
    <row r="19" spans="2:3" ht="12.75">
      <c r="B19" s="33">
        <f>+B17*1000/B13</f>
        <v>53.18181818181818</v>
      </c>
      <c r="C19" s="33" t="s">
        <v>134</v>
      </c>
    </row>
    <row r="20" spans="6:7" ht="13.5" thickBot="1">
      <c r="F20" s="84" t="s">
        <v>5</v>
      </c>
      <c r="G20" s="84"/>
    </row>
    <row r="21" spans="2:7" ht="13.5" thickBot="1">
      <c r="B21" s="34">
        <v>10</v>
      </c>
      <c r="C21" s="33" t="s">
        <v>18</v>
      </c>
      <c r="F21" s="27">
        <v>570000</v>
      </c>
      <c r="G21" s="2" t="s">
        <v>83</v>
      </c>
    </row>
    <row r="22" spans="2:7" ht="13.5" thickBot="1">
      <c r="B22" s="35">
        <v>4.5</v>
      </c>
      <c r="C22" s="33" t="s">
        <v>19</v>
      </c>
      <c r="F22" s="3">
        <v>30</v>
      </c>
      <c r="G22" s="2" t="s">
        <v>4</v>
      </c>
    </row>
    <row r="23" spans="2:7" ht="12.75">
      <c r="B23" s="42">
        <f>+B21/B22</f>
        <v>2.2222222222222223</v>
      </c>
      <c r="C23" s="33" t="s">
        <v>30</v>
      </c>
      <c r="F23" s="2">
        <f>+F21/F22</f>
        <v>19000</v>
      </c>
      <c r="G23" s="2" t="s">
        <v>84</v>
      </c>
    </row>
    <row r="24" spans="2:7" ht="12.75">
      <c r="B24" s="69"/>
      <c r="C24" s="33"/>
      <c r="F24" s="30">
        <v>2</v>
      </c>
      <c r="G24" s="21" t="str">
        <f>+G30</f>
        <v>people/podcar</v>
      </c>
    </row>
    <row r="25" spans="2:7" ht="12.75">
      <c r="B25" s="31">
        <f>1/B9</f>
        <v>0.02</v>
      </c>
      <c r="C25" s="47" t="s">
        <v>98</v>
      </c>
      <c r="F25" s="21">
        <f>+F23*F24</f>
        <v>38000</v>
      </c>
      <c r="G25" s="21" t="str">
        <f>+G36</f>
        <v>passengers per day</v>
      </c>
    </row>
    <row r="26" spans="2:3" ht="12.75">
      <c r="B26" s="48">
        <f>+B25*B15</f>
        <v>0.13</v>
      </c>
      <c r="C26" s="46" t="s">
        <v>97</v>
      </c>
    </row>
    <row r="27" spans="2:3" ht="12.75">
      <c r="B27" s="12"/>
      <c r="C27" s="33"/>
    </row>
    <row r="28" spans="2:7" ht="12.75">
      <c r="B28" s="33">
        <f>+B23*B19</f>
        <v>118.18181818181819</v>
      </c>
      <c r="C28" s="33" t="s">
        <v>31</v>
      </c>
      <c r="F28" s="82" t="s">
        <v>1</v>
      </c>
      <c r="G28" s="83"/>
    </row>
    <row r="29" spans="2:7" ht="13.5" thickBot="1">
      <c r="B29" s="3"/>
      <c r="C29" s="33"/>
      <c r="F29" s="13"/>
      <c r="G29" s="12"/>
    </row>
    <row r="30" spans="2:7" ht="13.5" thickBot="1">
      <c r="B30" s="2">
        <f>+B28*B18</f>
        <v>624000</v>
      </c>
      <c r="C30" s="33" t="s">
        <v>27</v>
      </c>
      <c r="F30" s="35">
        <v>1.5</v>
      </c>
      <c r="G30" s="21" t="s">
        <v>78</v>
      </c>
    </row>
    <row r="31" spans="2:7" ht="12.75">
      <c r="B31" s="8">
        <v>6</v>
      </c>
      <c r="C31" s="41" t="s">
        <v>28</v>
      </c>
      <c r="F31" s="28">
        <f>1/B11</f>
        <v>0.5</v>
      </c>
      <c r="G31" s="12" t="s">
        <v>80</v>
      </c>
    </row>
    <row r="32" spans="2:7" ht="12.75">
      <c r="B32" s="7">
        <f>+B31*B30</f>
        <v>3744000</v>
      </c>
      <c r="C32" s="43" t="s">
        <v>29</v>
      </c>
      <c r="F32" s="13">
        <v>60</v>
      </c>
      <c r="G32" s="12" t="s">
        <v>34</v>
      </c>
    </row>
    <row r="33" spans="6:7" ht="12.75">
      <c r="F33" s="14">
        <v>60</v>
      </c>
      <c r="G33" s="12" t="s">
        <v>35</v>
      </c>
    </row>
    <row r="34" spans="6:7" ht="12.75">
      <c r="F34" s="13">
        <f>+F33*F32*F31*F30</f>
        <v>2700</v>
      </c>
      <c r="G34" s="12" t="s">
        <v>36</v>
      </c>
    </row>
    <row r="35" spans="2:7" ht="12.75">
      <c r="B35" s="19">
        <f>+Solar!C14</f>
        <v>16.42871514900143</v>
      </c>
      <c r="C35" s="5" t="s">
        <v>21</v>
      </c>
      <c r="F35" s="14">
        <f>+B21</f>
        <v>10</v>
      </c>
      <c r="G35" s="12" t="str">
        <f>+C21</f>
        <v>hrs at peak operation equivalent</v>
      </c>
    </row>
    <row r="36" spans="2:7" ht="12.75">
      <c r="B36" s="29">
        <f>+B28/B35</f>
        <v>7.193612958162556</v>
      </c>
      <c r="C36" s="6" t="s">
        <v>22</v>
      </c>
      <c r="D36" s="17">
        <f>+B$32*B36/$B$36</f>
        <v>3744000</v>
      </c>
      <c r="E36" s="18" t="s">
        <v>29</v>
      </c>
      <c r="F36" s="15">
        <f>+F35*F34</f>
        <v>27000</v>
      </c>
      <c r="G36" s="16" t="s">
        <v>37</v>
      </c>
    </row>
    <row r="37" spans="2:7" ht="12.75">
      <c r="B37" s="1">
        <f>+B36/2</f>
        <v>3.596806479081278</v>
      </c>
      <c r="C37" s="2" t="str">
        <f>+C36</f>
        <v>ft wide solar panel to meet requirement</v>
      </c>
      <c r="D37" s="17">
        <f>+B$32*B37/$B$36</f>
        <v>1872000</v>
      </c>
      <c r="E37" s="18" t="s">
        <v>29</v>
      </c>
      <c r="F37" s="13">
        <f>+F$36*B37/$B$36</f>
        <v>13500</v>
      </c>
      <c r="G37" s="12" t="str">
        <f>+G36</f>
        <v>passengers per day</v>
      </c>
    </row>
    <row r="38" spans="2:7" ht="12.75">
      <c r="B38" s="1">
        <f>+B37/2</f>
        <v>1.798403239540639</v>
      </c>
      <c r="C38" s="2" t="str">
        <f>+C37</f>
        <v>ft wide solar panel to meet requirement</v>
      </c>
      <c r="D38" s="17">
        <f>+B$32*B38/$B$36</f>
        <v>936000</v>
      </c>
      <c r="E38" s="18" t="s">
        <v>29</v>
      </c>
      <c r="F38" s="13">
        <f>+F$36*B38/$B$36</f>
        <v>6750</v>
      </c>
      <c r="G38" s="12" t="str">
        <f>+G37</f>
        <v>passengers per day</v>
      </c>
    </row>
    <row r="39" spans="2:7" ht="12.75">
      <c r="B39" s="1">
        <f>+B38/2</f>
        <v>0.8992016197703195</v>
      </c>
      <c r="C39" s="2" t="str">
        <f>+C38</f>
        <v>ft wide solar panel to meet requirement</v>
      </c>
      <c r="D39" s="17">
        <f>+B$32*B39/$B$36</f>
        <v>468000</v>
      </c>
      <c r="E39" s="18" t="s">
        <v>29</v>
      </c>
      <c r="F39" s="13">
        <f>+F$36*B39/$B$36</f>
        <v>3375</v>
      </c>
      <c r="G39" s="12" t="str">
        <f>+G38</f>
        <v>passengers per day</v>
      </c>
    </row>
    <row r="40" spans="2:7" ht="12.75">
      <c r="B40" s="1">
        <f>+Solar!C6/12</f>
        <v>2.6181102362204727</v>
      </c>
      <c r="C40" s="2" t="s">
        <v>20</v>
      </c>
      <c r="D40" s="17">
        <f>+B$32*B40/$B$36</f>
        <v>1362626.0936497755</v>
      </c>
      <c r="E40" s="18" t="s">
        <v>29</v>
      </c>
      <c r="F40" s="13">
        <f>+F$36*B40/$B$36</f>
        <v>9826.630483051265</v>
      </c>
      <c r="G40" s="12" t="str">
        <f>+G39</f>
        <v>passengers per day</v>
      </c>
    </row>
    <row r="42" spans="2:3" ht="12.75">
      <c r="B42" s="70">
        <f>+B12*B36*B35/1000</f>
        <v>17.333333333333332</v>
      </c>
      <c r="C42" s="21" t="s">
        <v>6</v>
      </c>
    </row>
    <row r="44" spans="2:7" ht="15.75">
      <c r="B44" s="78" t="s">
        <v>7</v>
      </c>
      <c r="C44" s="78"/>
      <c r="D44" s="21"/>
      <c r="E44" s="21"/>
      <c r="F44" s="78" t="s">
        <v>122</v>
      </c>
      <c r="G44" s="78"/>
    </row>
    <row r="45" spans="2:7" ht="13.5" thickBot="1">
      <c r="B45" s="40">
        <v>25</v>
      </c>
      <c r="C45" s="21" t="s">
        <v>14</v>
      </c>
      <c r="D45" s="21"/>
      <c r="E45" s="21"/>
      <c r="F45" s="21" t="s">
        <v>115</v>
      </c>
      <c r="G45" s="21"/>
    </row>
    <row r="46" spans="2:7" ht="12.75">
      <c r="B46" s="21"/>
      <c r="C46" s="21"/>
      <c r="F46" s="21"/>
      <c r="G46" s="21"/>
    </row>
    <row r="47" spans="2:7" ht="13.5" thickBot="1">
      <c r="B47" s="21">
        <f>+F36</f>
        <v>27000</v>
      </c>
      <c r="C47" s="21" t="s">
        <v>23</v>
      </c>
      <c r="D47" s="21"/>
      <c r="E47" s="21"/>
      <c r="F47" s="74" t="s">
        <v>136</v>
      </c>
      <c r="G47" s="21"/>
    </row>
    <row r="48" spans="2:9" ht="13.5" thickBot="1">
      <c r="B48" s="35">
        <v>1.3</v>
      </c>
      <c r="C48" s="21" t="s">
        <v>77</v>
      </c>
      <c r="D48" s="21"/>
      <c r="E48" s="21"/>
      <c r="G48" s="24" t="s">
        <v>123</v>
      </c>
      <c r="I48" s="31"/>
    </row>
    <row r="49" spans="2:6" ht="13.5" thickBot="1">
      <c r="B49" s="21">
        <f>+B47/B48</f>
        <v>20769.23076923077</v>
      </c>
      <c r="C49" s="21" t="s">
        <v>79</v>
      </c>
      <c r="D49" s="21"/>
      <c r="E49" s="21"/>
      <c r="F49" s="21"/>
    </row>
    <row r="50" spans="2:9" ht="13.5" thickBot="1">
      <c r="B50" s="39">
        <v>2.5</v>
      </c>
      <c r="C50" s="21" t="s">
        <v>12</v>
      </c>
      <c r="D50" s="21"/>
      <c r="E50" s="21"/>
      <c r="F50" s="74" t="s">
        <v>126</v>
      </c>
      <c r="H50" s="21"/>
      <c r="I50" s="12"/>
    </row>
    <row r="51" spans="2:9" ht="12.75">
      <c r="B51" s="25">
        <f>+B49*B50</f>
        <v>51923.07692307692</v>
      </c>
      <c r="C51" s="21" t="s">
        <v>15</v>
      </c>
      <c r="D51" s="21"/>
      <c r="E51" s="21"/>
      <c r="F51" s="21"/>
      <c r="G51" s="18" t="s">
        <v>124</v>
      </c>
      <c r="H51" s="21"/>
      <c r="I51" s="12"/>
    </row>
    <row r="52" spans="2:9" ht="12.75">
      <c r="B52" s="21">
        <f>+B51*365</f>
        <v>18951923.076923076</v>
      </c>
      <c r="C52" s="21" t="s">
        <v>16</v>
      </c>
      <c r="D52" s="21"/>
      <c r="E52" s="21"/>
      <c r="F52" s="21"/>
      <c r="H52" s="12"/>
      <c r="I52" s="12"/>
    </row>
    <row r="53" spans="2:9" ht="12.75">
      <c r="B53" s="21"/>
      <c r="C53" s="36"/>
      <c r="D53" s="21"/>
      <c r="E53" s="21"/>
      <c r="F53" s="74" t="s">
        <v>125</v>
      </c>
      <c r="G53" s="21"/>
      <c r="H53" s="12"/>
      <c r="I53" s="12"/>
    </row>
    <row r="54" spans="2:9" ht="12.75">
      <c r="B54" s="25">
        <f>+B45*B32</f>
        <v>93600000</v>
      </c>
      <c r="C54" s="21" t="s">
        <v>13</v>
      </c>
      <c r="D54" s="21"/>
      <c r="E54" s="21"/>
      <c r="F54" s="21"/>
      <c r="G54" s="21"/>
      <c r="H54" s="12"/>
      <c r="I54" s="12"/>
    </row>
    <row r="55" spans="2:9" ht="12.75">
      <c r="B55" s="21"/>
      <c r="C55" s="36"/>
      <c r="D55" s="21"/>
      <c r="E55" s="21"/>
      <c r="F55" s="2" t="s">
        <v>129</v>
      </c>
      <c r="H55" s="75"/>
      <c r="I55" s="12"/>
    </row>
    <row r="56" spans="2:7" ht="12.75">
      <c r="B56" s="37">
        <f>+B54/B52</f>
        <v>4.938812785388128</v>
      </c>
      <c r="C56" s="38" t="s">
        <v>17</v>
      </c>
      <c r="D56" s="21"/>
      <c r="E56" s="21"/>
      <c r="F56" s="21">
        <v>100</v>
      </c>
      <c r="G56" s="21" t="s">
        <v>131</v>
      </c>
    </row>
    <row r="57" spans="2:7" ht="12.75">
      <c r="B57" s="21"/>
      <c r="C57" s="21"/>
      <c r="D57" s="21"/>
      <c r="E57" s="21"/>
      <c r="F57" s="76">
        <v>50</v>
      </c>
      <c r="G57" s="21" t="s">
        <v>130</v>
      </c>
    </row>
    <row r="58" spans="2:7" ht="12.75">
      <c r="B58" s="21"/>
      <c r="C58" s="21"/>
      <c r="D58" s="21"/>
      <c r="E58" s="21"/>
      <c r="F58" s="21">
        <f>+F56/F57</f>
        <v>2</v>
      </c>
      <c r="G58" s="21" t="s">
        <v>127</v>
      </c>
    </row>
    <row r="59" spans="2:7" ht="12.75">
      <c r="B59" s="22"/>
      <c r="C59" s="21"/>
      <c r="D59" s="21"/>
      <c r="E59" s="21"/>
      <c r="F59" s="21">
        <v>13</v>
      </c>
      <c r="G59" s="21" t="s">
        <v>128</v>
      </c>
    </row>
    <row r="60" spans="2:7" ht="12.75">
      <c r="B60" s="21"/>
      <c r="C60" s="21"/>
      <c r="D60" s="21"/>
      <c r="E60" s="21"/>
      <c r="F60" s="70">
        <v>6.5</v>
      </c>
      <c r="G60" s="21" t="s">
        <v>103</v>
      </c>
    </row>
    <row r="61" spans="2:7" ht="12.75">
      <c r="B61" s="21"/>
      <c r="C61" s="21"/>
      <c r="D61" s="21"/>
      <c r="E61" s="21"/>
      <c r="F61" s="21"/>
      <c r="G61" s="21"/>
    </row>
    <row r="62" spans="2:7" ht="12.75">
      <c r="B62" s="21"/>
      <c r="C62" s="21"/>
      <c r="D62" s="21"/>
      <c r="E62" s="21"/>
      <c r="F62" s="21"/>
      <c r="G62" s="21"/>
    </row>
    <row r="63" spans="2:7" ht="12.75">
      <c r="B63" s="21"/>
      <c r="C63" s="21"/>
      <c r="D63" s="21"/>
      <c r="E63" s="21"/>
      <c r="F63" s="77"/>
      <c r="G63" s="77"/>
    </row>
    <row r="64" spans="2:7" ht="12.75">
      <c r="B64" s="21"/>
      <c r="C64" s="21"/>
      <c r="D64" s="21"/>
      <c r="E64" s="21"/>
      <c r="F64" s="21"/>
      <c r="G64" s="21"/>
    </row>
    <row r="65" spans="2:7" ht="12.75">
      <c r="B65" s="21"/>
      <c r="C65" s="21"/>
      <c r="D65" s="21"/>
      <c r="E65" s="21"/>
      <c r="F65" s="21"/>
      <c r="G65" s="21"/>
    </row>
    <row r="66" spans="2:7" ht="12.75">
      <c r="B66" s="23"/>
      <c r="C66" s="24"/>
      <c r="D66" s="21"/>
      <c r="E66" s="21"/>
      <c r="F66" s="21"/>
      <c r="G66" s="21"/>
    </row>
    <row r="67" spans="2:7" ht="12.75">
      <c r="B67" s="25"/>
      <c r="C67" s="24"/>
      <c r="D67" s="21"/>
      <c r="E67" s="21"/>
      <c r="F67" s="21"/>
      <c r="G67" s="21"/>
    </row>
    <row r="68" spans="2:7" ht="12.75">
      <c r="B68" s="21"/>
      <c r="C68" s="21"/>
      <c r="D68" s="21"/>
      <c r="E68" s="21"/>
      <c r="F68" s="21"/>
      <c r="G68" s="21"/>
    </row>
    <row r="69" spans="2:7" ht="12.75">
      <c r="B69" s="21"/>
      <c r="C69" s="21"/>
      <c r="D69" s="21"/>
      <c r="E69" s="21"/>
      <c r="F69" s="21"/>
      <c r="G69" s="21"/>
    </row>
    <row r="70" spans="2:7" ht="12.75">
      <c r="B70" s="21"/>
      <c r="C70" s="21"/>
      <c r="D70" s="21"/>
      <c r="E70" s="21"/>
      <c r="F70" s="21"/>
      <c r="G70" s="21"/>
    </row>
    <row r="71" spans="2:7" ht="12.75">
      <c r="B71" s="21"/>
      <c r="C71" s="21"/>
      <c r="D71" s="25"/>
      <c r="E71" s="24"/>
      <c r="F71" s="21"/>
      <c r="G71" s="21"/>
    </row>
    <row r="72" spans="2:7" ht="12.75">
      <c r="B72" s="26"/>
      <c r="C72" s="21"/>
      <c r="D72" s="25"/>
      <c r="E72" s="24"/>
      <c r="F72" s="21"/>
      <c r="G72" s="21"/>
    </row>
    <row r="73" spans="2:7" ht="12.75">
      <c r="B73" s="26"/>
      <c r="C73" s="21"/>
      <c r="D73" s="25"/>
      <c r="E73" s="24"/>
      <c r="F73" s="21"/>
      <c r="G73" s="21"/>
    </row>
    <row r="74" spans="2:7" ht="12.75">
      <c r="B74" s="26"/>
      <c r="C74" s="21"/>
      <c r="D74" s="25"/>
      <c r="E74" s="24"/>
      <c r="F74" s="21"/>
      <c r="G74" s="21"/>
    </row>
    <row r="75" spans="2:7" ht="12.75">
      <c r="B75" s="26"/>
      <c r="C75" s="21"/>
      <c r="D75" s="25"/>
      <c r="E75" s="24"/>
      <c r="F75" s="21"/>
      <c r="G75" s="21"/>
    </row>
    <row r="76" spans="2:7" ht="12.75">
      <c r="B76" s="21"/>
      <c r="C76" s="21"/>
      <c r="D76" s="21"/>
      <c r="E76" s="21"/>
      <c r="F76" s="21"/>
      <c r="G76" s="21"/>
    </row>
    <row r="77" spans="2:7" ht="12.75">
      <c r="B77" s="21"/>
      <c r="C77" s="21"/>
      <c r="D77" s="21"/>
      <c r="E77" s="21"/>
      <c r="F77" s="21"/>
      <c r="G77" s="21"/>
    </row>
    <row r="78" spans="2:7" ht="12.75">
      <c r="B78" s="21"/>
      <c r="C78" s="21"/>
      <c r="D78" s="21"/>
      <c r="E78" s="21"/>
      <c r="F78" s="21"/>
      <c r="G78" s="21"/>
    </row>
    <row r="79" spans="2:7" ht="12.75">
      <c r="B79" s="21"/>
      <c r="C79" s="21"/>
      <c r="D79" s="21"/>
      <c r="E79" s="21"/>
      <c r="F79" s="21"/>
      <c r="G79" s="21"/>
    </row>
    <row r="80" spans="2:7" ht="12.75">
      <c r="B80" s="21"/>
      <c r="C80" s="21"/>
      <c r="D80" s="21"/>
      <c r="E80" s="21"/>
      <c r="F80" s="21"/>
      <c r="G80" s="21"/>
    </row>
    <row r="81" spans="2:7" ht="12.75">
      <c r="B81" s="21"/>
      <c r="C81" s="21"/>
      <c r="D81" s="21"/>
      <c r="E81" s="21"/>
      <c r="F81" s="21"/>
      <c r="G81" s="21"/>
    </row>
    <row r="82" spans="2:7" ht="12.75">
      <c r="B82" s="21"/>
      <c r="C82" s="21"/>
      <c r="D82" s="21"/>
      <c r="E82" s="21"/>
      <c r="F82" s="21"/>
      <c r="G82" s="21"/>
    </row>
    <row r="83" spans="2:7" ht="12.75">
      <c r="B83" s="21"/>
      <c r="C83" s="21"/>
      <c r="D83" s="21"/>
      <c r="E83" s="21"/>
      <c r="F83" s="21"/>
      <c r="G83" s="21"/>
    </row>
    <row r="84" spans="2:7" ht="12.75">
      <c r="B84" s="21"/>
      <c r="C84" s="21"/>
      <c r="D84" s="21"/>
      <c r="E84" s="21"/>
      <c r="F84" s="21"/>
      <c r="G84" s="21"/>
    </row>
    <row r="85" spans="2:7" ht="12.75">
      <c r="B85" s="21"/>
      <c r="C85" s="21"/>
      <c r="D85" s="21"/>
      <c r="E85" s="21"/>
      <c r="F85" s="21"/>
      <c r="G85" s="21"/>
    </row>
    <row r="86" spans="2:7" ht="12.75">
      <c r="B86" s="21"/>
      <c r="C86" s="21"/>
      <c r="D86" s="21"/>
      <c r="E86" s="21"/>
      <c r="F86" s="21"/>
      <c r="G86" s="21"/>
    </row>
    <row r="87" spans="2:7" ht="12.75">
      <c r="B87" s="21"/>
      <c r="C87" s="21"/>
      <c r="D87" s="21"/>
      <c r="E87" s="21"/>
      <c r="F87" s="21"/>
      <c r="G87" s="21"/>
    </row>
    <row r="88" spans="2:7" ht="12.75">
      <c r="B88" s="21"/>
      <c r="C88" s="21"/>
      <c r="D88" s="21"/>
      <c r="E88" s="21"/>
      <c r="F88" s="21"/>
      <c r="G88" s="21"/>
    </row>
    <row r="89" spans="2:7" ht="12.75">
      <c r="B89" s="21"/>
      <c r="C89" s="21"/>
      <c r="D89" s="21"/>
      <c r="E89" s="21"/>
      <c r="F89" s="21"/>
      <c r="G89" s="21"/>
    </row>
    <row r="90" spans="2:7" ht="12.75">
      <c r="B90" s="21"/>
      <c r="C90" s="21"/>
      <c r="D90" s="21"/>
      <c r="E90" s="21"/>
      <c r="F90" s="21"/>
      <c r="G90" s="21"/>
    </row>
    <row r="91" spans="2:7" ht="12.75">
      <c r="B91" s="21"/>
      <c r="C91" s="21"/>
      <c r="D91" s="21"/>
      <c r="E91" s="21"/>
      <c r="F91" s="21"/>
      <c r="G91" s="21"/>
    </row>
    <row r="92" spans="2:7" ht="12.75">
      <c r="B92" s="21"/>
      <c r="C92" s="21"/>
      <c r="D92" s="21"/>
      <c r="E92" s="21"/>
      <c r="F92" s="21"/>
      <c r="G92" s="21"/>
    </row>
    <row r="93" spans="2:7" ht="12.75">
      <c r="B93" s="21"/>
      <c r="C93" s="21"/>
      <c r="D93" s="21"/>
      <c r="E93" s="21"/>
      <c r="F93" s="21"/>
      <c r="G93" s="21"/>
    </row>
    <row r="94" spans="2:7" ht="12.75">
      <c r="B94" s="21"/>
      <c r="C94" s="21"/>
      <c r="D94" s="21"/>
      <c r="E94" s="21"/>
      <c r="F94" s="21"/>
      <c r="G94" s="21"/>
    </row>
  </sheetData>
  <sheetProtection/>
  <mergeCells count="10">
    <mergeCell ref="F63:G63"/>
    <mergeCell ref="B44:C44"/>
    <mergeCell ref="B5:C5"/>
    <mergeCell ref="B6:C6"/>
    <mergeCell ref="B2:C2"/>
    <mergeCell ref="F28:G28"/>
    <mergeCell ref="F6:G6"/>
    <mergeCell ref="F20:G20"/>
    <mergeCell ref="F44:G44"/>
    <mergeCell ref="F14:G14"/>
  </mergeCells>
  <hyperlinks>
    <hyperlink ref="I15" r:id="rId1" display="btu/gallon per EIA"/>
    <hyperlink ref="F47" r:id="rId2" display="Vectus: 660 watt-hours per vehicle - kilometer at 45km/h"/>
    <hyperlink ref="F53" r:id="rId3" display="Electric vehicles for comparison"/>
  </hyperlinks>
  <printOptions/>
  <pageMargins left="0.75" right="0.75" top="1" bottom="1" header="0.5" footer="0.5"/>
  <pageSetup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28" sqref="C28"/>
    </sheetView>
  </sheetViews>
  <sheetFormatPr defaultColWidth="8.8515625" defaultRowHeight="12.75"/>
  <cols>
    <col min="1" max="2" width="8.8515625" style="0" customWidth="1"/>
    <col min="3" max="3" width="14.421875" style="0" customWidth="1"/>
    <col min="4" max="4" width="48.28125" style="0" bestFit="1" customWidth="1"/>
    <col min="5" max="5" width="10.28125" style="0" bestFit="1" customWidth="1"/>
  </cols>
  <sheetData>
    <row r="1" spans="1:4" ht="12.75">
      <c r="A1" s="2"/>
      <c r="B1" s="2"/>
      <c r="C1" s="85" t="s">
        <v>64</v>
      </c>
      <c r="D1" s="85"/>
    </row>
    <row r="2" spans="1:4" ht="12.75">
      <c r="A2" s="2"/>
      <c r="B2" s="2"/>
      <c r="C2" s="2"/>
      <c r="D2" s="2"/>
    </row>
    <row r="3" spans="1:4" ht="12.75">
      <c r="A3" s="2"/>
      <c r="B3" s="2"/>
      <c r="C3" s="9" t="s">
        <v>38</v>
      </c>
      <c r="D3" s="2" t="s">
        <v>56</v>
      </c>
    </row>
    <row r="4" spans="1:4" ht="12.75">
      <c r="A4" s="2"/>
      <c r="B4" s="2"/>
      <c r="C4" s="9"/>
      <c r="D4" s="2"/>
    </row>
    <row r="5" spans="1:4" ht="12.75">
      <c r="A5" s="10" t="s">
        <v>39</v>
      </c>
      <c r="B5" s="10">
        <v>1559</v>
      </c>
      <c r="C5" s="2">
        <f>+B5/25.4</f>
        <v>61.37795275590552</v>
      </c>
      <c r="D5" s="2" t="s">
        <v>40</v>
      </c>
    </row>
    <row r="6" spans="1:4" ht="12.75">
      <c r="A6" s="2"/>
      <c r="B6" s="44">
        <v>798</v>
      </c>
      <c r="C6" s="3">
        <f>+B6/25.4</f>
        <v>31.41732283464567</v>
      </c>
      <c r="D6" s="2" t="s">
        <v>40</v>
      </c>
    </row>
    <row r="7" spans="1:4" ht="12.75">
      <c r="A7" s="10" t="s">
        <v>73</v>
      </c>
      <c r="B7" s="31">
        <f>+B6*B5/10^6</f>
        <v>1.244082</v>
      </c>
      <c r="C7" s="2">
        <f>+C6*C5/144</f>
        <v>13.391187199041067</v>
      </c>
      <c r="D7" s="2" t="s">
        <v>41</v>
      </c>
    </row>
    <row r="8" spans="1:4" ht="12.75">
      <c r="A8" s="2"/>
      <c r="B8" s="10"/>
      <c r="C8" s="2"/>
      <c r="D8" s="2"/>
    </row>
    <row r="9" spans="1:4" ht="12.75">
      <c r="A9" s="2"/>
      <c r="B9" s="10"/>
      <c r="C9" s="9" t="s">
        <v>63</v>
      </c>
      <c r="D9" s="2"/>
    </row>
    <row r="10" spans="1:4" ht="12.75">
      <c r="A10" s="2"/>
      <c r="B10" s="10"/>
      <c r="C10" s="2"/>
      <c r="D10" s="2"/>
    </row>
    <row r="11" spans="1:4" ht="12.75">
      <c r="A11" s="2"/>
      <c r="B11" s="10">
        <v>220</v>
      </c>
      <c r="C11" s="2">
        <v>220</v>
      </c>
      <c r="D11" s="2" t="s">
        <v>42</v>
      </c>
    </row>
    <row r="12" spans="1:4" ht="12.75">
      <c r="A12" s="2"/>
      <c r="B12" s="10"/>
      <c r="C12" s="3">
        <v>5</v>
      </c>
      <c r="D12" s="2" t="s">
        <v>58</v>
      </c>
    </row>
    <row r="13" spans="1:4" ht="12.75">
      <c r="A13" s="2"/>
      <c r="B13" s="10"/>
      <c r="C13" s="2">
        <f>+C11*C12</f>
        <v>1100</v>
      </c>
      <c r="D13" s="2" t="s">
        <v>62</v>
      </c>
    </row>
    <row r="14" spans="1:4" ht="12.75">
      <c r="A14" s="10" t="s">
        <v>74</v>
      </c>
      <c r="B14" s="1">
        <f>+B11/B7</f>
        <v>176.83721812549334</v>
      </c>
      <c r="C14" s="1">
        <f>+C11/C7</f>
        <v>16.42871514900143</v>
      </c>
      <c r="D14" s="2" t="s">
        <v>57</v>
      </c>
    </row>
    <row r="15" spans="1:4" ht="12.75">
      <c r="A15" s="2"/>
      <c r="B15" s="10"/>
      <c r="C15" s="2"/>
      <c r="D15" s="2"/>
    </row>
    <row r="16" spans="1:4" ht="12.75">
      <c r="A16" s="2"/>
      <c r="B16" s="10"/>
      <c r="C16" s="9" t="s">
        <v>43</v>
      </c>
      <c r="D16" s="2"/>
    </row>
    <row r="17" spans="1:4" ht="12.75">
      <c r="A17" s="2"/>
      <c r="B17" s="2"/>
      <c r="C17" s="2"/>
      <c r="D17" s="2"/>
    </row>
    <row r="18" spans="1:4" ht="12.75">
      <c r="A18" s="10" t="s">
        <v>44</v>
      </c>
      <c r="B18" s="2">
        <v>15</v>
      </c>
      <c r="C18" s="2">
        <f>+B18*2.2</f>
        <v>33</v>
      </c>
      <c r="D18" s="2" t="s">
        <v>45</v>
      </c>
    </row>
    <row r="19" spans="1:4" ht="12.75">
      <c r="A19" s="2" t="s">
        <v>75</v>
      </c>
      <c r="B19" s="12">
        <f>+B18/B7</f>
        <v>12.05708305401091</v>
      </c>
      <c r="C19" s="12">
        <f>+C18/C7</f>
        <v>2.4643072723502146</v>
      </c>
      <c r="D19" s="2" t="s">
        <v>46</v>
      </c>
    </row>
    <row r="20" spans="1:4" ht="12.75">
      <c r="A20" s="2"/>
      <c r="B20" s="2"/>
      <c r="C20" s="2">
        <f>+C19*C6/12</f>
        <v>6.451828094932648</v>
      </c>
      <c r="D20" s="2" t="s">
        <v>47</v>
      </c>
    </row>
    <row r="21" spans="1:4" ht="12.75">
      <c r="A21" s="2"/>
      <c r="B21" s="2"/>
      <c r="C21" s="2"/>
      <c r="D21" s="2"/>
    </row>
    <row r="22" spans="1:4" ht="12.75">
      <c r="A22" s="2"/>
      <c r="B22" s="2"/>
      <c r="C22" s="9" t="s">
        <v>76</v>
      </c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>
        <f>+PodCars!B12</f>
        <v>146.66666666666666</v>
      </c>
      <c r="D24" s="2" t="s">
        <v>48</v>
      </c>
    </row>
    <row r="25" spans="1:4" ht="12.75">
      <c r="A25" s="2"/>
      <c r="B25" s="2"/>
      <c r="C25" s="2">
        <f>+C24/(C5/12)</f>
        <v>28.674791533033993</v>
      </c>
      <c r="D25" s="2" t="s">
        <v>60</v>
      </c>
    </row>
    <row r="26" spans="1:4" ht="12.75">
      <c r="A26" s="2"/>
      <c r="B26" s="2"/>
      <c r="C26" s="2">
        <f>+C25*C13</f>
        <v>31542.270686337393</v>
      </c>
      <c r="D26" s="2" t="s">
        <v>65</v>
      </c>
    </row>
    <row r="27" spans="1:4" ht="12.75">
      <c r="A27" s="2"/>
      <c r="B27" s="2"/>
      <c r="C27" s="2">
        <f>+PodCars!B15</f>
        <v>6.5</v>
      </c>
      <c r="D27" s="2" t="s">
        <v>61</v>
      </c>
    </row>
    <row r="28" spans="1:4" ht="12.75">
      <c r="A28" s="2"/>
      <c r="B28" s="2"/>
      <c r="C28" s="1">
        <f>+C26/(C27*1000)</f>
        <v>4.852657028667291</v>
      </c>
      <c r="D28" s="2" t="s">
        <v>66</v>
      </c>
    </row>
    <row r="29" spans="1:4" ht="12.75">
      <c r="A29" s="2"/>
      <c r="B29" s="2"/>
      <c r="C29" s="3">
        <f>+PodCars!F34</f>
        <v>2700</v>
      </c>
      <c r="D29" s="2" t="s">
        <v>67</v>
      </c>
    </row>
    <row r="30" spans="1:5" ht="12.75">
      <c r="A30" s="2"/>
      <c r="B30" s="2"/>
      <c r="C30" s="2">
        <f>+C29*C28</f>
        <v>13102.173977401686</v>
      </c>
      <c r="D30" s="2" t="s">
        <v>68</v>
      </c>
      <c r="E30" s="2"/>
    </row>
    <row r="31" spans="1:5" ht="12.75">
      <c r="A31" s="2"/>
      <c r="B31" s="2"/>
      <c r="C31" s="2"/>
      <c r="D31" s="2"/>
      <c r="E31" s="20"/>
    </row>
    <row r="32" spans="1:4" ht="12.75">
      <c r="A32" s="2"/>
      <c r="B32" s="2"/>
      <c r="C32" s="9" t="s">
        <v>53</v>
      </c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>
        <f>1.3*10^9</f>
        <v>1300000000</v>
      </c>
      <c r="D34" s="2" t="s">
        <v>69</v>
      </c>
    </row>
    <row r="35" spans="1:4" ht="12.75">
      <c r="A35" s="2"/>
      <c r="B35" s="2"/>
      <c r="C35" s="2">
        <f>+C34/10</f>
        <v>130000000</v>
      </c>
      <c r="D35" s="2" t="s">
        <v>59</v>
      </c>
    </row>
    <row r="36" spans="1:4" ht="12.75">
      <c r="A36" s="2"/>
      <c r="B36" s="2"/>
      <c r="C36" s="2">
        <f>5280^2</f>
        <v>27878400</v>
      </c>
      <c r="D36" s="2" t="s">
        <v>49</v>
      </c>
    </row>
    <row r="37" spans="1:4" ht="12.75">
      <c r="A37" s="2"/>
      <c r="B37" s="2"/>
      <c r="C37" s="1">
        <f>+C35/C36</f>
        <v>4.6631083562901745</v>
      </c>
      <c r="D37" s="2" t="s">
        <v>50</v>
      </c>
    </row>
    <row r="38" spans="1:4" ht="12.75">
      <c r="A38" s="2"/>
      <c r="B38" s="2"/>
      <c r="C38" s="1"/>
      <c r="D38" s="2"/>
    </row>
    <row r="39" spans="1:4" ht="12.75">
      <c r="A39" s="2"/>
      <c r="B39" s="2"/>
      <c r="C39" s="11" t="s">
        <v>54</v>
      </c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1">
        <f>+C6/12</f>
        <v>2.6181102362204727</v>
      </c>
      <c r="D41" s="2" t="s">
        <v>26</v>
      </c>
    </row>
    <row r="42" spans="1:4" ht="12.75">
      <c r="A42" s="2"/>
      <c r="B42" s="2"/>
      <c r="C42" s="2">
        <v>5280</v>
      </c>
      <c r="D42" s="2" t="s">
        <v>51</v>
      </c>
    </row>
    <row r="43" spans="1:4" ht="12.75">
      <c r="A43" s="2"/>
      <c r="B43" s="2"/>
      <c r="C43" s="12">
        <f>+C42*C41</f>
        <v>13823.622047244096</v>
      </c>
      <c r="D43" s="2" t="s">
        <v>52</v>
      </c>
    </row>
    <row r="44" spans="1:4" ht="12.75">
      <c r="A44" s="2"/>
      <c r="B44" s="2"/>
      <c r="C44" s="2">
        <f>+C35/C43</f>
        <v>9404.19229892914</v>
      </c>
      <c r="D44" s="2" t="s">
        <v>55</v>
      </c>
    </row>
    <row r="45" spans="1:4" ht="12.75">
      <c r="A45" s="2"/>
      <c r="B45" s="2"/>
      <c r="C45" s="2"/>
      <c r="D45" s="2"/>
    </row>
    <row r="46" spans="1:4" ht="12.75">
      <c r="A46" s="2"/>
      <c r="B46" s="2"/>
      <c r="C46" s="9"/>
      <c r="D46" s="2"/>
    </row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16.8515625" style="0" customWidth="1"/>
    <col min="3" max="3" width="28.140625" style="31" customWidth="1"/>
  </cols>
  <sheetData>
    <row r="1" spans="2:6" ht="12.75">
      <c r="B1" s="31"/>
      <c r="E1" s="2"/>
      <c r="F1" s="31"/>
    </row>
    <row r="2" spans="2:6" ht="15.75">
      <c r="B2" s="86" t="s">
        <v>95</v>
      </c>
      <c r="C2" s="86"/>
      <c r="D2" s="86"/>
      <c r="E2" s="2"/>
      <c r="F2" s="31"/>
    </row>
    <row r="3" spans="2:6" ht="12.75">
      <c r="B3" s="31"/>
      <c r="E3" s="55"/>
      <c r="F3" s="31"/>
    </row>
    <row r="4" spans="2:6" ht="15">
      <c r="B4" s="50" t="s">
        <v>85</v>
      </c>
      <c r="E4" s="51" t="s">
        <v>86</v>
      </c>
      <c r="F4" s="31"/>
    </row>
    <row r="5" spans="2:6" ht="12.75">
      <c r="B5" s="31" t="s">
        <v>87</v>
      </c>
      <c r="E5" s="52" t="s">
        <v>88</v>
      </c>
      <c r="F5" s="31"/>
    </row>
    <row r="6" spans="2:6" ht="12.75">
      <c r="B6" s="53" t="s">
        <v>96</v>
      </c>
      <c r="E6" s="2"/>
      <c r="F6" s="31"/>
    </row>
    <row r="7" spans="2:6" ht="12.75">
      <c r="B7" s="53" t="s">
        <v>100</v>
      </c>
      <c r="E7" s="54">
        <v>0.66</v>
      </c>
      <c r="F7" s="31" t="s">
        <v>90</v>
      </c>
    </row>
    <row r="8" spans="2:6" ht="12.75">
      <c r="B8" s="31"/>
      <c r="D8" s="45" t="s">
        <v>92</v>
      </c>
      <c r="E8" s="3">
        <v>45</v>
      </c>
      <c r="F8" s="31" t="s">
        <v>101</v>
      </c>
    </row>
    <row r="9" spans="2:6" ht="12.75">
      <c r="B9" s="48">
        <v>0.55</v>
      </c>
      <c r="C9" s="31" t="s">
        <v>113</v>
      </c>
      <c r="D9" s="45" t="s">
        <v>99</v>
      </c>
      <c r="E9" s="2">
        <f>+E8*E7</f>
        <v>29.700000000000003</v>
      </c>
      <c r="F9" s="31" t="s">
        <v>102</v>
      </c>
    </row>
    <row r="10" spans="1:6" ht="12.75">
      <c r="A10" s="49" t="s">
        <v>107</v>
      </c>
      <c r="B10" s="71">
        <v>3.6</v>
      </c>
      <c r="C10" s="31" t="s">
        <v>114</v>
      </c>
      <c r="D10" s="45" t="s">
        <v>99</v>
      </c>
      <c r="E10" s="2">
        <f>+E9</f>
        <v>29.700000000000003</v>
      </c>
      <c r="F10" s="31" t="s">
        <v>103</v>
      </c>
    </row>
    <row r="11" spans="1:6" ht="12.75">
      <c r="A11" s="45" t="s">
        <v>99</v>
      </c>
      <c r="B11" s="31">
        <f>+B9/B10</f>
        <v>0.1527777777777778</v>
      </c>
      <c r="C11" s="31" t="s">
        <v>89</v>
      </c>
      <c r="E11" s="2"/>
      <c r="F11" s="31"/>
    </row>
    <row r="12" spans="1:6" ht="12.75">
      <c r="A12" s="45" t="s">
        <v>92</v>
      </c>
      <c r="B12" s="4">
        <f>+E14</f>
        <v>1.609344</v>
      </c>
      <c r="C12" s="31" t="s">
        <v>91</v>
      </c>
      <c r="E12" s="2"/>
      <c r="F12" s="31"/>
    </row>
    <row r="13" spans="1:6" ht="12.75">
      <c r="A13" s="45" t="s">
        <v>99</v>
      </c>
      <c r="B13" s="31">
        <f>+B11*B12</f>
        <v>0.24587200000000003</v>
      </c>
      <c r="C13" s="31" t="s">
        <v>93</v>
      </c>
      <c r="E13" s="31">
        <v>0.66</v>
      </c>
      <c r="F13" s="31" t="s">
        <v>104</v>
      </c>
    </row>
    <row r="14" spans="1:7" ht="12.75">
      <c r="A14" s="45" t="s">
        <v>92</v>
      </c>
      <c r="B14" s="3">
        <v>4</v>
      </c>
      <c r="C14" s="56" t="s">
        <v>105</v>
      </c>
      <c r="D14" s="45" t="s">
        <v>92</v>
      </c>
      <c r="E14" s="57">
        <v>1.609344</v>
      </c>
      <c r="F14" s="31" t="s">
        <v>91</v>
      </c>
      <c r="G14" s="58"/>
    </row>
    <row r="15" spans="1:7" ht="12.75">
      <c r="A15" s="45" t="s">
        <v>99</v>
      </c>
      <c r="B15" s="59">
        <f>+B14*B13</f>
        <v>0.9834880000000001</v>
      </c>
      <c r="C15" s="89" t="s">
        <v>137</v>
      </c>
      <c r="D15" s="45" t="s">
        <v>99</v>
      </c>
      <c r="E15" s="60">
        <f>+E14*E13</f>
        <v>1.06216704</v>
      </c>
      <c r="F15" s="61" t="s">
        <v>94</v>
      </c>
      <c r="G15" s="58"/>
    </row>
    <row r="16" spans="2:7" ht="15.75">
      <c r="B16" s="31"/>
      <c r="C16" s="62"/>
      <c r="D16" s="63"/>
      <c r="E16" s="3"/>
      <c r="F16" s="48"/>
      <c r="G16" s="64"/>
    </row>
    <row r="17" spans="2:7" ht="13.5" thickBot="1">
      <c r="B17" s="2">
        <v>2</v>
      </c>
      <c r="C17" s="56" t="s">
        <v>106</v>
      </c>
      <c r="D17" s="45" t="s">
        <v>99</v>
      </c>
      <c r="E17" s="60">
        <f>+E15</f>
        <v>1.06216704</v>
      </c>
      <c r="F17" s="31"/>
      <c r="G17" s="65"/>
    </row>
    <row r="18" spans="1:7" ht="15.75" thickBot="1">
      <c r="A18" s="49" t="s">
        <v>107</v>
      </c>
      <c r="B18" s="66">
        <v>13</v>
      </c>
      <c r="C18" s="56" t="s">
        <v>108</v>
      </c>
      <c r="D18" s="64"/>
      <c r="E18" s="12"/>
      <c r="F18" s="48"/>
      <c r="G18" s="58"/>
    </row>
    <row r="19" spans="1:7" ht="12.75">
      <c r="A19" s="45" t="s">
        <v>99</v>
      </c>
      <c r="B19" s="31">
        <f>+B17/B18</f>
        <v>0.15384615384615385</v>
      </c>
      <c r="C19" s="31" t="s">
        <v>90</v>
      </c>
      <c r="D19" s="58"/>
      <c r="E19" s="67">
        <f>+B15/E15</f>
        <v>0.925925925925926</v>
      </c>
      <c r="F19" s="48" t="s">
        <v>109</v>
      </c>
      <c r="G19" s="58"/>
    </row>
    <row r="20" spans="2:7" ht="12.75">
      <c r="B20" s="31"/>
      <c r="D20" s="58"/>
      <c r="E20" s="12"/>
      <c r="F20" s="48"/>
      <c r="G20" s="58"/>
    </row>
    <row r="21" spans="2:7" ht="12.75">
      <c r="B21" s="20">
        <f>+B11/B19</f>
        <v>0.9930555555555556</v>
      </c>
      <c r="C21" s="31" t="s">
        <v>110</v>
      </c>
      <c r="D21" s="58"/>
      <c r="E21" s="12"/>
      <c r="F21" s="48"/>
      <c r="G21" s="58"/>
    </row>
    <row r="22" spans="2:7" ht="12.75">
      <c r="B22" s="31"/>
      <c r="D22" s="58"/>
      <c r="E22" s="12"/>
      <c r="F22" s="48"/>
      <c r="G22" s="58"/>
    </row>
    <row r="23" spans="2:7" ht="12.75">
      <c r="B23" s="53" t="s">
        <v>138</v>
      </c>
      <c r="D23" s="58"/>
      <c r="E23" s="12"/>
      <c r="F23" s="68"/>
      <c r="G23" s="58"/>
    </row>
    <row r="24" spans="2:7" ht="12.75">
      <c r="B24" s="31"/>
      <c r="D24" s="58"/>
      <c r="E24" s="12"/>
      <c r="F24" s="48"/>
      <c r="G24" s="58"/>
    </row>
    <row r="25" spans="2:7" ht="12.75">
      <c r="B25" s="31"/>
      <c r="D25" s="58"/>
      <c r="E25" s="12"/>
      <c r="F25" s="48"/>
      <c r="G25" s="58"/>
    </row>
    <row r="26" spans="2:6" ht="12.75">
      <c r="B26" s="31"/>
      <c r="E26" s="2"/>
      <c r="F26" s="31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Ron Swenson</cp:lastModifiedBy>
  <cp:lastPrinted>2007-04-06T05:25:04Z</cp:lastPrinted>
  <dcterms:created xsi:type="dcterms:W3CDTF">2006-02-13T06:16:58Z</dcterms:created>
  <dcterms:modified xsi:type="dcterms:W3CDTF">2007-06-27T03:12:17Z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